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kideskovic/Dropbox/Projekti (i ideje)/Nerine ideje/"/>
    </mc:Choice>
  </mc:AlternateContent>
  <xr:revisionPtr revIDLastSave="0" documentId="13_ncr:1_{53AC63B6-5443-9040-B34A-5DBA03038EDF}" xr6:coauthVersionLast="36" xr6:coauthVersionMax="36" xr10:uidLastSave="{00000000-0000-0000-0000-000000000000}"/>
  <bookViews>
    <workbookView xWindow="0" yWindow="460" windowWidth="23180" windowHeight="16180" xr2:uid="{00000000-000D-0000-FFFF-FFFF00000000}"/>
  </bookViews>
  <sheets>
    <sheet name="Gostima" sheetId="1" r:id="rId1"/>
    <sheet name="Podstanarima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8" i="2" l="1"/>
  <c r="F8" i="2" s="1"/>
  <c r="C8" i="2"/>
  <c r="D8" i="2" s="1"/>
  <c r="B46" i="1"/>
  <c r="B45" i="1"/>
  <c r="B44" i="1"/>
  <c r="B43" i="1"/>
  <c r="B42" i="1"/>
  <c r="D13" i="1"/>
  <c r="E9" i="1"/>
  <c r="E10" i="1"/>
  <c r="E11" i="1"/>
  <c r="E12" i="1"/>
  <c r="F9" i="1"/>
  <c r="G9" i="1" s="1"/>
  <c r="F10" i="1"/>
  <c r="G10" i="1" s="1"/>
  <c r="F11" i="1"/>
  <c r="G11" i="1" s="1"/>
  <c r="F12" i="1"/>
  <c r="G12" i="1" s="1"/>
  <c r="G8" i="2" l="1"/>
  <c r="H8" i="2" s="1"/>
  <c r="G13" i="1"/>
  <c r="B13" i="1"/>
  <c r="C13" i="1" s="1"/>
  <c r="H11" i="1"/>
  <c r="E13" i="1"/>
  <c r="B21" i="1" s="1"/>
  <c r="B41" i="1" s="1"/>
  <c r="B40" i="1" l="1"/>
  <c r="B39" i="1"/>
  <c r="F13" i="1"/>
  <c r="H12" i="1"/>
  <c r="I12" i="1" s="1"/>
  <c r="J12" i="1" s="1"/>
  <c r="H9" i="1"/>
  <c r="I9" i="1" s="1"/>
  <c r="J9" i="1" s="1"/>
  <c r="I11" i="1"/>
  <c r="J11" i="1" s="1"/>
  <c r="B48" i="1" l="1"/>
  <c r="B50" i="1" s="1"/>
  <c r="B51" i="1" s="1"/>
  <c r="H10" i="1"/>
  <c r="I10" i="1" s="1"/>
  <c r="J10" i="1" s="1"/>
  <c r="J13" i="1" s="1"/>
  <c r="H13" i="1" l="1"/>
  <c r="I13" i="1"/>
</calcChain>
</file>

<file path=xl/sharedStrings.xml><?xml version="1.0" encoding="utf-8"?>
<sst xmlns="http://schemas.openxmlformats.org/spreadsheetml/2006/main" count="96" uniqueCount="96">
  <si>
    <t>dana</t>
  </si>
  <si>
    <t>popunjenost
%</t>
  </si>
  <si>
    <t>Popunjenost
dana</t>
  </si>
  <si>
    <t>lipanj</t>
  </si>
  <si>
    <t>srpanj</t>
  </si>
  <si>
    <t>kolovoz</t>
  </si>
  <si>
    <t>rujan</t>
  </si>
  <si>
    <t>TOTAL</t>
  </si>
  <si>
    <t>Broj dolazaka</t>
  </si>
  <si>
    <t>Management</t>
  </si>
  <si>
    <t>Čišćenje</t>
  </si>
  <si>
    <t>Pranje posteljine</t>
  </si>
  <si>
    <t>Prijevoz gostiju</t>
  </si>
  <si>
    <t>Struja</t>
  </si>
  <si>
    <t>Voda</t>
  </si>
  <si>
    <t>Turistička članarina</t>
  </si>
  <si>
    <t>Management uključuje</t>
  </si>
  <si>
    <t>primanje rezervacija (korespodencija s gostom, telefonom, mailom, ......) tijekom cijele godine</t>
  </si>
  <si>
    <t>prijava i vođenje brige o zauzetosti na svim portalima i sa svim agencijama  tijekom cijele godine</t>
  </si>
  <si>
    <t>prihvat i ispraćaj gostiju</t>
  </si>
  <si>
    <t>na raspolaganju gostima 24 sata dnevno na mob.</t>
  </si>
  <si>
    <t>vođenje knjiga, izdavanje računa, evidencija gostiju, prijava policiji i TZ</t>
  </si>
  <si>
    <t>naplata</t>
  </si>
  <si>
    <t>kontakt, nadgledanje i raspored čistačice i pranja posteljine</t>
  </si>
  <si>
    <t>Tečaj EUR</t>
  </si>
  <si>
    <t>pdv na agencijsku proviziju (EUR)</t>
  </si>
  <si>
    <t>Prosječan boravak gostiju (u danima)</t>
  </si>
  <si>
    <t>Broj apartmana</t>
  </si>
  <si>
    <t>Prosječna provizija agenciji</t>
  </si>
  <si>
    <t>trošak agencije
(EUR)</t>
  </si>
  <si>
    <t>Postotak agencijskih gostiju</t>
  </si>
  <si>
    <t>Broj osnovnih ležajeva</t>
  </si>
  <si>
    <t>Boravišna pristojba po ležaju (HRK)</t>
  </si>
  <si>
    <t>Porez po ležaju (HRK)</t>
  </si>
  <si>
    <t>Cijena čišćenja apartmana (HRK)</t>
  </si>
  <si>
    <t>cijena čišćenja jednog apartmana</t>
  </si>
  <si>
    <t>Iznos</t>
  </si>
  <si>
    <t>popunjenost u danima * broj apartmana / prosječan boravak gostiju</t>
  </si>
  <si>
    <t>ukupan broj osnovnih ležajeva u svim apartmanima, bez dodatnih ležajeva</t>
  </si>
  <si>
    <t>broj dolazaka (smjena gostiju) * cijena čišćenja apartmana</t>
  </si>
  <si>
    <t>Cijena pranja posteljine (HRK)</t>
  </si>
  <si>
    <t>cijena pranja posteljine svih apartmana</t>
  </si>
  <si>
    <t>(cijena pranja posteljine svih apartmana * broj dolazaka)/(broj apartmana * 3) -&gt; pod pretpostavkom da imate 4 puta više posteljine nego apartmana, barem na trećoj promjeni posteljinu trebate oprati</t>
  </si>
  <si>
    <t>Broj dodatnih ležajeva</t>
  </si>
  <si>
    <t>ukupan broj dodatnih ležajeva u svim apartmanima</t>
  </si>
  <si>
    <t>Turistička članarina po ležaju (HRK)</t>
  </si>
  <si>
    <t>Prijevoz gostiju u oba smjera  (HRK)</t>
  </si>
  <si>
    <t>cijena prijevoza gostiju do smještaja i od smještaja do kolodvora/luke (ovo unesite ako ovo radite ili mislite raditi, a ne naplaćujete)</t>
  </si>
  <si>
    <t>Udio gostiju koje treba prevesti (%)</t>
  </si>
  <si>
    <t>postotak gostiju koje treba prevesti u oba smjera</t>
  </si>
  <si>
    <t>broj dolazaka (smjena gostiju) * cijena prijevoza * %gostiju koje treba prevesti</t>
  </si>
  <si>
    <t>Porez (paušalno)</t>
  </si>
  <si>
    <t>Boravišna pristojba (paušalno)</t>
  </si>
  <si>
    <t>Struja prosječno mjesečno (lipanj-rujan)</t>
  </si>
  <si>
    <t>Struja prosječno mjesečno (ostali mjeseci)</t>
  </si>
  <si>
    <t>Voda prosječno mjesečno (lipanj-rujan)</t>
  </si>
  <si>
    <t>Voda prosječno mjesečno (ostali mjeseci)</t>
  </si>
  <si>
    <t>iznos naknade za vodu kada nema nikoga</t>
  </si>
  <si>
    <t>iznos naknade za struju kada nema nikoga</t>
  </si>
  <si>
    <t>ukupan iznos računa za struju lipanj/rujan podijeljen s 4</t>
  </si>
  <si>
    <t>ukupan iznos računa za vodu lipanj/rujan podijeljen s 4</t>
  </si>
  <si>
    <t>UKUPNO OSTALI TROŠKOVI</t>
  </si>
  <si>
    <t>Obrazloženje</t>
  </si>
  <si>
    <t>OSTALI TROŠKOVI U HRK</t>
  </si>
  <si>
    <t>iznos boravišne pristojbe po ležaju * broj osnovnih ležajeva</t>
  </si>
  <si>
    <t>paušalni iznos članarine turističkoj zajednici osnovnom ležaju (dodatni ležajevi se plaćaju 50% manje)</t>
  </si>
  <si>
    <t>iznos turističke članarine po ležaju * broj osnovnih ležajeva + iznos turističke članarine po ležaju* broj dodatnih ležajeva * 50%</t>
  </si>
  <si>
    <t>iznos poreza po ležaju * broj osnovnih ležajeva</t>
  </si>
  <si>
    <t>paušalni iznos boravišne pristojbe određen za vaše mjesto (određuje se prema kategoriji mjesta)</t>
  </si>
  <si>
    <t>paušalni iznos poreza određen za vaše mjesto (određuje se prema kategoriji mjesta)</t>
  </si>
  <si>
    <t>suma prosječnih cijena svih apartmana (EUR)</t>
  </si>
  <si>
    <t>Ukoliko možete, popunite vlastitim podacima, a ukoliko tek krećete kao orijentir mogu poslužiti podaci Turističkke zajednice o popunjenosti u vašem mjestu (možete ih pitati).</t>
  </si>
  <si>
    <t>Žutu podlogu imaju podaci koji se mogu mijenjati (ostali podaci će se automatski izračunati).</t>
  </si>
  <si>
    <t>Tablica: Prihod od iznajmljivanja gostima i agencijska provizija</t>
  </si>
  <si>
    <t>ukupni prihod (EUR)</t>
  </si>
  <si>
    <t>ostaje (EUR)</t>
  </si>
  <si>
    <t>ostaje (HRK)</t>
  </si>
  <si>
    <t>OSTAJE VLASNIKU (HRK - ZARADA)</t>
  </si>
  <si>
    <t>OSTAJE VLASNIKU (EUR- ZARADA)</t>
  </si>
  <si>
    <t>Prosječna popunjenost</t>
  </si>
  <si>
    <t>Stanarina (HRK)</t>
  </si>
  <si>
    <t>Prosječna popunjenost je izračunata temeljem statistika za Englesku (nisam pronašao za Hrvatsku) po kojima je prosječan boravak podstanara 4,4 godine.</t>
  </si>
  <si>
    <t>Ako se pronađe novog podstanara u mjesec dana, to je 118 od 120 mjeseci popunjenosti u 10 godina, što čini 98,33% popunjenosti.</t>
  </si>
  <si>
    <t>Godišnji prihod (HRK)</t>
  </si>
  <si>
    <t>Postotak prireza</t>
  </si>
  <si>
    <t>Postotak poreza</t>
  </si>
  <si>
    <t>Postotak priznatih izdataka</t>
  </si>
  <si>
    <t>Godišnji porez (HRK)</t>
  </si>
  <si>
    <t>Godišnji prirez (HRK)</t>
  </si>
  <si>
    <t>niže je razrađeno što sve management uključuje, smatram da vrijedi minimalno 2000 kn kroz 4 mjeseca = 8000 kn, iako je dio poslova kroz cijelu godinu</t>
  </si>
  <si>
    <t>Početni postoci popunjenosti u ovoj tablici popunjeni su prema statistikama za Hrvatsku u 2017. (lipanj 25%, srpanj 75%, kolovoz 78%, rujan 21%).</t>
  </si>
  <si>
    <t>Ostaje vlasniku</t>
  </si>
  <si>
    <t>Ostaje vlasniku (EUR)</t>
  </si>
  <si>
    <t>Iznajmljivanje gostima</t>
  </si>
  <si>
    <t>Iznajmljivanje podstanarima</t>
  </si>
  <si>
    <t>Ova tablica računa s pretpostavkom da podstanari plaćaju struju i vodu povrh iznosa stanarine.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</si>
</sst>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HRK&quot;"/>
  </numFmts>
  <fonts count="9" x14ac:knownFonts="1"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9" fontId="0" fillId="3" borderId="0" xfId="0" applyNumberFormat="1" applyFill="1"/>
    <xf numFmtId="9" fontId="0" fillId="3" borderId="0" xfId="0" applyNumberFormat="1" applyFill="1" applyAlignment="1">
      <alignment horizontal="center"/>
    </xf>
    <xf numFmtId="0" fontId="0" fillId="0" borderId="0" xfId="0" quotePrefix="1"/>
    <xf numFmtId="2" fontId="4" fillId="0" borderId="0" xfId="0" applyNumberFormat="1" applyFont="1"/>
    <xf numFmtId="1" fontId="5" fillId="3" borderId="0" xfId="0" applyNumberFormat="1" applyFont="1" applyFill="1" applyAlignment="1">
      <alignment horizontal="center"/>
    </xf>
    <xf numFmtId="0" fontId="0" fillId="0" borderId="0" xfId="0" applyFill="1"/>
    <xf numFmtId="2" fontId="4" fillId="0" borderId="0" xfId="0" applyNumberFormat="1" applyFont="1" applyAlignment="1">
      <alignment horizontal="center"/>
    </xf>
    <xf numFmtId="9" fontId="5" fillId="3" borderId="0" xfId="0" applyNumberFormat="1" applyFont="1" applyFill="1" applyAlignment="1">
      <alignment horizontal="center"/>
    </xf>
    <xf numFmtId="0" fontId="3" fillId="0" borderId="0" xfId="0" applyFont="1" applyFill="1"/>
    <xf numFmtId="1" fontId="5" fillId="0" borderId="0" xfId="0" applyNumberFormat="1" applyFont="1" applyFill="1" applyAlignment="1">
      <alignment horizontal="center"/>
    </xf>
    <xf numFmtId="0" fontId="0" fillId="0" borderId="0" xfId="0" quotePrefix="1" applyFill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1" fontId="0" fillId="0" borderId="1" xfId="0" applyNumberFormat="1" applyFill="1" applyBorder="1" applyAlignment="1">
      <alignment horizontal="center"/>
    </xf>
    <xf numFmtId="0" fontId="0" fillId="3" borderId="0" xfId="0" applyFill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3" borderId="1" xfId="0" applyFill="1" applyBorder="1"/>
    <xf numFmtId="10" fontId="0" fillId="3" borderId="1" xfId="0" applyNumberFormat="1" applyFill="1" applyBorder="1"/>
    <xf numFmtId="165" fontId="7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0" xfId="0" applyFont="1" applyAlignment="1"/>
    <xf numFmtId="164" fontId="7" fillId="0" borderId="1" xfId="0" applyNumberFormat="1" applyFont="1" applyBorder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workbookViewId="0">
      <selection activeCell="F17" sqref="F17"/>
    </sheetView>
  </sheetViews>
  <sheetFormatPr baseColWidth="10" defaultColWidth="8.83203125" defaultRowHeight="15" x14ac:dyDescent="0.2"/>
  <cols>
    <col min="1" max="1" width="34.5" customWidth="1"/>
    <col min="2" max="2" width="15.33203125" bestFit="1" customWidth="1"/>
    <col min="3" max="3" width="14.6640625" customWidth="1"/>
    <col min="4" max="4" width="11.33203125"/>
    <col min="5" max="5" width="11.83203125"/>
    <col min="6" max="6" width="11.1640625" customWidth="1"/>
    <col min="7" max="7" width="12.83203125"/>
    <col min="8" max="8" width="12.83203125" customWidth="1"/>
    <col min="9" max="9" width="12.6640625"/>
    <col min="10" max="10" width="13" customWidth="1"/>
    <col min="11" max="1025" width="8.5"/>
  </cols>
  <sheetData>
    <row r="1" spans="1:10" ht="26" x14ac:dyDescent="0.3">
      <c r="A1" s="56" t="s">
        <v>93</v>
      </c>
      <c r="B1" s="56"/>
      <c r="C1" s="56"/>
      <c r="D1" s="56"/>
      <c r="E1" s="56"/>
      <c r="F1" s="56"/>
      <c r="G1" s="56"/>
      <c r="H1" s="56"/>
      <c r="I1" s="56"/>
      <c r="J1" s="56"/>
    </row>
    <row r="3" spans="1:10" x14ac:dyDescent="0.2">
      <c r="A3" t="s">
        <v>90</v>
      </c>
    </row>
    <row r="4" spans="1:10" x14ac:dyDescent="0.2">
      <c r="A4" t="s">
        <v>71</v>
      </c>
    </row>
    <row r="5" spans="1:10" x14ac:dyDescent="0.2">
      <c r="A5" s="38" t="s">
        <v>72</v>
      </c>
      <c r="B5" s="38"/>
      <c r="C5" s="38"/>
      <c r="D5" s="38"/>
      <c r="E5" s="38"/>
    </row>
    <row r="6" spans="1:10" x14ac:dyDescent="0.2">
      <c r="A6" s="27"/>
      <c r="B6" s="27"/>
      <c r="C6" s="27"/>
      <c r="D6" s="27"/>
      <c r="E6" s="27"/>
    </row>
    <row r="7" spans="1:10" ht="16" x14ac:dyDescent="0.2">
      <c r="A7" s="35" t="s">
        <v>73</v>
      </c>
    </row>
    <row r="8" spans="1:10" s="1" customFormat="1" ht="48" x14ac:dyDescent="0.2">
      <c r="A8" s="48"/>
      <c r="B8" s="48" t="s">
        <v>0</v>
      </c>
      <c r="C8" s="48" t="s">
        <v>70</v>
      </c>
      <c r="D8" s="48" t="s">
        <v>1</v>
      </c>
      <c r="E8" s="48" t="s">
        <v>2</v>
      </c>
      <c r="F8" s="48" t="s">
        <v>74</v>
      </c>
      <c r="G8" s="48" t="s">
        <v>29</v>
      </c>
      <c r="H8" s="48" t="s">
        <v>25</v>
      </c>
      <c r="I8" s="48" t="s">
        <v>75</v>
      </c>
      <c r="J8" s="48" t="s">
        <v>76</v>
      </c>
    </row>
    <row r="9" spans="1:10" x14ac:dyDescent="0.2">
      <c r="A9" s="2" t="s">
        <v>3</v>
      </c>
      <c r="B9" s="3">
        <v>30</v>
      </c>
      <c r="C9" s="4">
        <v>70</v>
      </c>
      <c r="D9" s="15">
        <v>0.25</v>
      </c>
      <c r="E9" s="37">
        <f>B9*D9</f>
        <v>7.5</v>
      </c>
      <c r="F9" s="39">
        <f>(B9*C9)*D9</f>
        <v>525</v>
      </c>
      <c r="G9" s="39">
        <f>(F9*$B$15*$B$16)</f>
        <v>63</v>
      </c>
      <c r="H9" s="39">
        <f>G9*0.13</f>
        <v>8.19</v>
      </c>
      <c r="I9" s="39">
        <f>F9-G9-H9</f>
        <v>453.81</v>
      </c>
      <c r="J9" s="41">
        <f>I9*$B$17</f>
        <v>3417.1893</v>
      </c>
    </row>
    <row r="10" spans="1:10" x14ac:dyDescent="0.2">
      <c r="A10" s="2" t="s">
        <v>4</v>
      </c>
      <c r="B10" s="3">
        <v>31</v>
      </c>
      <c r="C10" s="4">
        <v>90</v>
      </c>
      <c r="D10" s="15">
        <v>0.75</v>
      </c>
      <c r="E10" s="37">
        <f>B10*D10</f>
        <v>23.25</v>
      </c>
      <c r="F10" s="39">
        <f>(B10*C10)*D10</f>
        <v>2092.5</v>
      </c>
      <c r="G10" s="39">
        <f t="shared" ref="G10:G12" si="0">(F10*$B$15*$B$16)</f>
        <v>251.10000000000002</v>
      </c>
      <c r="H10" s="39">
        <f>G10*0.13</f>
        <v>32.643000000000001</v>
      </c>
      <c r="I10" s="39">
        <f>F10-G10-H10</f>
        <v>1808.7570000000001</v>
      </c>
      <c r="J10" s="41">
        <f t="shared" ref="J10:J12" si="1">I10*$B$17</f>
        <v>13619.940210000001</v>
      </c>
    </row>
    <row r="11" spans="1:10" x14ac:dyDescent="0.2">
      <c r="A11" s="2" t="s">
        <v>5</v>
      </c>
      <c r="B11" s="3">
        <v>31</v>
      </c>
      <c r="C11" s="4">
        <v>90</v>
      </c>
      <c r="D11" s="15">
        <v>0.78</v>
      </c>
      <c r="E11" s="37">
        <f>B11*D11</f>
        <v>24.18</v>
      </c>
      <c r="F11" s="39">
        <f>(B11*C11)*D11</f>
        <v>2176.2000000000003</v>
      </c>
      <c r="G11" s="39">
        <f t="shared" si="0"/>
        <v>261.14400000000001</v>
      </c>
      <c r="H11" s="39">
        <f>G11*0.13</f>
        <v>33.948720000000002</v>
      </c>
      <c r="I11" s="39">
        <f>F11-G11-H11</f>
        <v>1881.1072800000002</v>
      </c>
      <c r="J11" s="41">
        <f t="shared" si="1"/>
        <v>14164.737818400003</v>
      </c>
    </row>
    <row r="12" spans="1:10" x14ac:dyDescent="0.2">
      <c r="A12" s="2" t="s">
        <v>6</v>
      </c>
      <c r="B12" s="3">
        <v>30</v>
      </c>
      <c r="C12" s="4">
        <v>70</v>
      </c>
      <c r="D12" s="15">
        <v>0.21</v>
      </c>
      <c r="E12" s="37">
        <f>B12*D12</f>
        <v>6.3</v>
      </c>
      <c r="F12" s="39">
        <f>(B12*C12)*D12</f>
        <v>441</v>
      </c>
      <c r="G12" s="39">
        <f t="shared" si="0"/>
        <v>52.919999999999995</v>
      </c>
      <c r="H12" s="39">
        <f>G12*0.13</f>
        <v>6.8795999999999999</v>
      </c>
      <c r="I12" s="39">
        <f>F12-G12-H12</f>
        <v>381.2004</v>
      </c>
      <c r="J12" s="41">
        <f t="shared" si="1"/>
        <v>2870.4390120000003</v>
      </c>
    </row>
    <row r="13" spans="1:10" x14ac:dyDescent="0.2">
      <c r="A13" s="2" t="s">
        <v>7</v>
      </c>
      <c r="B13" s="18">
        <f>SUM(B9:B12)</f>
        <v>122</v>
      </c>
      <c r="C13" s="19">
        <f>((C9*B9)+(C10*B10)+(C11*B11)+(C12*B12))/B13</f>
        <v>80.163934426229503</v>
      </c>
      <c r="D13" s="20">
        <f>(D9+D10+D11+D12)/4</f>
        <v>0.4975</v>
      </c>
      <c r="E13" s="5">
        <f t="shared" ref="E13:J13" si="2">SUM(E9:E12)</f>
        <v>61.23</v>
      </c>
      <c r="F13" s="40">
        <f t="shared" si="2"/>
        <v>5234.7000000000007</v>
      </c>
      <c r="G13" s="40">
        <f t="shared" si="2"/>
        <v>628.16399999999999</v>
      </c>
      <c r="H13" s="40">
        <f t="shared" si="2"/>
        <v>81.661320000000003</v>
      </c>
      <c r="I13" s="40">
        <f t="shared" si="2"/>
        <v>4524.8746799999999</v>
      </c>
      <c r="J13" s="42">
        <f t="shared" si="2"/>
        <v>34072.306340400006</v>
      </c>
    </row>
    <row r="15" spans="1:10" x14ac:dyDescent="0.2">
      <c r="A15" s="16" t="s">
        <v>28</v>
      </c>
      <c r="B15" s="23">
        <v>0.15</v>
      </c>
    </row>
    <row r="16" spans="1:10" x14ac:dyDescent="0.2">
      <c r="A16" s="16" t="s">
        <v>30</v>
      </c>
      <c r="B16" s="23">
        <v>0.8</v>
      </c>
    </row>
    <row r="17" spans="1:3" x14ac:dyDescent="0.2">
      <c r="A17" s="16" t="s">
        <v>24</v>
      </c>
      <c r="B17" s="21">
        <v>7.53</v>
      </c>
    </row>
    <row r="18" spans="1:3" s="27" customFormat="1" x14ac:dyDescent="0.2">
      <c r="A18" s="16"/>
      <c r="B18" s="17"/>
    </row>
    <row r="19" spans="1:3" x14ac:dyDescent="0.2">
      <c r="A19" s="16" t="s">
        <v>26</v>
      </c>
      <c r="B19" s="21">
        <v>4.2</v>
      </c>
    </row>
    <row r="20" spans="1:3" x14ac:dyDescent="0.2">
      <c r="A20" s="16" t="s">
        <v>27</v>
      </c>
      <c r="B20" s="21">
        <v>1</v>
      </c>
    </row>
    <row r="21" spans="1:3" x14ac:dyDescent="0.2">
      <c r="A21" s="6" t="s">
        <v>8</v>
      </c>
      <c r="B21" s="28">
        <f>E13*B20/B19</f>
        <v>14.578571428571427</v>
      </c>
      <c r="C21" s="24" t="s">
        <v>37</v>
      </c>
    </row>
    <row r="22" spans="1:3" x14ac:dyDescent="0.2">
      <c r="A22" s="6" t="s">
        <v>34</v>
      </c>
      <c r="B22" s="26">
        <v>150</v>
      </c>
      <c r="C22" s="24" t="s">
        <v>35</v>
      </c>
    </row>
    <row r="23" spans="1:3" x14ac:dyDescent="0.2">
      <c r="A23" s="6" t="s">
        <v>40</v>
      </c>
      <c r="B23" s="26">
        <v>80</v>
      </c>
      <c r="C23" s="24" t="s">
        <v>41</v>
      </c>
    </row>
    <row r="24" spans="1:3" x14ac:dyDescent="0.2">
      <c r="A24" s="6" t="s">
        <v>46</v>
      </c>
      <c r="B24" s="26">
        <v>50</v>
      </c>
      <c r="C24" s="24" t="s">
        <v>47</v>
      </c>
    </row>
    <row r="25" spans="1:3" x14ac:dyDescent="0.2">
      <c r="A25" s="6" t="s">
        <v>48</v>
      </c>
      <c r="B25" s="29">
        <v>0.5</v>
      </c>
      <c r="C25" s="24" t="s">
        <v>49</v>
      </c>
    </row>
    <row r="26" spans="1:3" x14ac:dyDescent="0.2">
      <c r="A26" s="6"/>
      <c r="B26" s="25"/>
      <c r="C26" s="24"/>
    </row>
    <row r="27" spans="1:3" x14ac:dyDescent="0.2">
      <c r="A27" s="6" t="s">
        <v>31</v>
      </c>
      <c r="B27" s="26">
        <v>4</v>
      </c>
      <c r="C27" s="24" t="s">
        <v>38</v>
      </c>
    </row>
    <row r="28" spans="1:3" x14ac:dyDescent="0.2">
      <c r="A28" s="6" t="s">
        <v>43</v>
      </c>
      <c r="B28" s="26">
        <v>1</v>
      </c>
      <c r="C28" s="24" t="s">
        <v>44</v>
      </c>
    </row>
    <row r="29" spans="1:3" x14ac:dyDescent="0.2">
      <c r="A29" s="6" t="s">
        <v>32</v>
      </c>
      <c r="B29" s="26">
        <v>300</v>
      </c>
      <c r="C29" s="24" t="s">
        <v>68</v>
      </c>
    </row>
    <row r="30" spans="1:3" x14ac:dyDescent="0.2">
      <c r="A30" s="6" t="s">
        <v>33</v>
      </c>
      <c r="B30" s="26">
        <v>300</v>
      </c>
      <c r="C30" s="24" t="s">
        <v>69</v>
      </c>
    </row>
    <row r="31" spans="1:3" x14ac:dyDescent="0.2">
      <c r="A31" s="6" t="s">
        <v>45</v>
      </c>
      <c r="B31" s="26">
        <v>45</v>
      </c>
      <c r="C31" s="24" t="s">
        <v>65</v>
      </c>
    </row>
    <row r="32" spans="1:3" s="27" customFormat="1" x14ac:dyDescent="0.2">
      <c r="A32" s="30"/>
      <c r="B32" s="31"/>
      <c r="C32" s="32"/>
    </row>
    <row r="33" spans="1:6" s="27" customFormat="1" x14ac:dyDescent="0.2">
      <c r="A33" s="30" t="s">
        <v>53</v>
      </c>
      <c r="B33" s="26">
        <v>250</v>
      </c>
      <c r="C33" s="32" t="s">
        <v>59</v>
      </c>
    </row>
    <row r="34" spans="1:6" s="27" customFormat="1" x14ac:dyDescent="0.2">
      <c r="A34" s="30" t="s">
        <v>54</v>
      </c>
      <c r="B34" s="26">
        <v>30</v>
      </c>
      <c r="C34" s="32" t="s">
        <v>58</v>
      </c>
    </row>
    <row r="35" spans="1:6" s="27" customFormat="1" x14ac:dyDescent="0.2">
      <c r="A35" s="30" t="s">
        <v>55</v>
      </c>
      <c r="B35" s="26">
        <v>90</v>
      </c>
      <c r="C35" s="32" t="s">
        <v>60</v>
      </c>
    </row>
    <row r="36" spans="1:6" s="27" customFormat="1" x14ac:dyDescent="0.2">
      <c r="A36" s="30" t="s">
        <v>56</v>
      </c>
      <c r="B36" s="26">
        <v>15</v>
      </c>
      <c r="C36" s="32" t="s">
        <v>57</v>
      </c>
    </row>
    <row r="37" spans="1:6" x14ac:dyDescent="0.2">
      <c r="A37" s="6"/>
      <c r="B37" s="25"/>
      <c r="C37" s="24"/>
    </row>
    <row r="38" spans="1:6" x14ac:dyDescent="0.2">
      <c r="A38" s="7" t="s">
        <v>63</v>
      </c>
      <c r="B38" s="33" t="s">
        <v>36</v>
      </c>
      <c r="C38" s="33" t="s">
        <v>62</v>
      </c>
      <c r="D38" s="8"/>
      <c r="E38" s="9"/>
    </row>
    <row r="39" spans="1:6" x14ac:dyDescent="0.2">
      <c r="A39" s="34" t="s">
        <v>10</v>
      </c>
      <c r="B39" s="45">
        <f>B22*B21</f>
        <v>2186.7857142857142</v>
      </c>
      <c r="C39" s="24" t="s">
        <v>39</v>
      </c>
    </row>
    <row r="40" spans="1:6" x14ac:dyDescent="0.2">
      <c r="A40" s="34" t="s">
        <v>11</v>
      </c>
      <c r="B40" s="46">
        <f>B23*B21/(B20*3)</f>
        <v>388.76190476190476</v>
      </c>
      <c r="C40" t="s">
        <v>42</v>
      </c>
    </row>
    <row r="41" spans="1:6" x14ac:dyDescent="0.2">
      <c r="A41" s="34" t="s">
        <v>12</v>
      </c>
      <c r="B41" s="46">
        <f>B24*B21*B25</f>
        <v>364.46428571428567</v>
      </c>
      <c r="C41" t="s">
        <v>50</v>
      </c>
    </row>
    <row r="42" spans="1:6" x14ac:dyDescent="0.2">
      <c r="A42" s="34" t="s">
        <v>52</v>
      </c>
      <c r="B42" s="46">
        <f>B29*B27</f>
        <v>1200</v>
      </c>
      <c r="C42" t="s">
        <v>64</v>
      </c>
    </row>
    <row r="43" spans="1:6" x14ac:dyDescent="0.2">
      <c r="A43" s="34" t="s">
        <v>51</v>
      </c>
      <c r="B43" s="46">
        <f>B29*B27</f>
        <v>1200</v>
      </c>
      <c r="C43" t="s">
        <v>67</v>
      </c>
    </row>
    <row r="44" spans="1:6" x14ac:dyDescent="0.2">
      <c r="A44" s="34" t="s">
        <v>15</v>
      </c>
      <c r="B44" s="46">
        <f>B31*B27+B31*B28*50%</f>
        <v>202.5</v>
      </c>
      <c r="C44" t="s">
        <v>66</v>
      </c>
    </row>
    <row r="45" spans="1:6" x14ac:dyDescent="0.2">
      <c r="A45" s="34" t="s">
        <v>13</v>
      </c>
      <c r="B45" s="46">
        <f>B33*4+B34*8</f>
        <v>1240</v>
      </c>
      <c r="C45" s="11"/>
      <c r="D45" s="10"/>
      <c r="F45" s="10"/>
    </row>
    <row r="46" spans="1:6" x14ac:dyDescent="0.2">
      <c r="A46" s="34" t="s">
        <v>14</v>
      </c>
      <c r="B46" s="46">
        <f>B35*4+B36*8</f>
        <v>480</v>
      </c>
      <c r="C46" s="11"/>
      <c r="D46" s="10"/>
      <c r="F46" s="10"/>
    </row>
    <row r="47" spans="1:6" x14ac:dyDescent="0.2">
      <c r="A47" s="34" t="s">
        <v>9</v>
      </c>
      <c r="B47" s="46">
        <v>8000</v>
      </c>
      <c r="C47" t="s">
        <v>89</v>
      </c>
    </row>
    <row r="48" spans="1:6" x14ac:dyDescent="0.2">
      <c r="A48" s="34" t="s">
        <v>61</v>
      </c>
      <c r="B48" s="47">
        <f>SUM(B39:B47)</f>
        <v>15262.511904761905</v>
      </c>
      <c r="F48" s="10"/>
    </row>
    <row r="49" spans="1:6" x14ac:dyDescent="0.2">
      <c r="A49" s="34"/>
      <c r="B49" s="25"/>
      <c r="F49" s="10"/>
    </row>
    <row r="50" spans="1:6" ht="19" x14ac:dyDescent="0.25">
      <c r="A50" s="36" t="s">
        <v>77</v>
      </c>
      <c r="B50" s="44">
        <f>J13-B48</f>
        <v>18809.794435638101</v>
      </c>
      <c r="C50" s="10"/>
      <c r="D50" s="12"/>
      <c r="E50" s="13"/>
      <c r="F50" s="11"/>
    </row>
    <row r="51" spans="1:6" ht="19" x14ac:dyDescent="0.25">
      <c r="A51" s="36" t="s">
        <v>78</v>
      </c>
      <c r="B51" s="43">
        <f>B50/B17</f>
        <v>2497.9806687434398</v>
      </c>
      <c r="C51" s="10"/>
      <c r="D51" s="12"/>
      <c r="E51" s="13"/>
      <c r="F51" s="11"/>
    </row>
    <row r="52" spans="1:6" x14ac:dyDescent="0.2">
      <c r="D52" s="10"/>
      <c r="E52" s="10"/>
      <c r="F52" s="10"/>
    </row>
    <row r="53" spans="1:6" x14ac:dyDescent="0.2">
      <c r="A53" s="7" t="s">
        <v>16</v>
      </c>
      <c r="D53" s="10"/>
      <c r="E53" s="10"/>
      <c r="F53" s="10"/>
    </row>
    <row r="54" spans="1:6" x14ac:dyDescent="0.2">
      <c r="A54" t="s">
        <v>17</v>
      </c>
      <c r="D54" s="14"/>
      <c r="E54" s="14"/>
      <c r="F54" s="14"/>
    </row>
    <row r="55" spans="1:6" x14ac:dyDescent="0.2">
      <c r="A55" t="s">
        <v>18</v>
      </c>
    </row>
    <row r="56" spans="1:6" x14ac:dyDescent="0.2">
      <c r="A56" t="s">
        <v>19</v>
      </c>
    </row>
    <row r="57" spans="1:6" x14ac:dyDescent="0.2">
      <c r="A57" t="s">
        <v>20</v>
      </c>
    </row>
    <row r="58" spans="1:6" x14ac:dyDescent="0.2">
      <c r="A58" t="s">
        <v>21</v>
      </c>
    </row>
    <row r="59" spans="1:6" x14ac:dyDescent="0.2">
      <c r="A59" t="s">
        <v>22</v>
      </c>
    </row>
    <row r="60" spans="1:6" x14ac:dyDescent="0.2">
      <c r="A60" t="s">
        <v>23</v>
      </c>
    </row>
  </sheetData>
  <mergeCells count="1">
    <mergeCell ref="A1:J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zoomScaleNormal="100" workbookViewId="0">
      <selection activeCell="B8" sqref="B8"/>
    </sheetView>
  </sheetViews>
  <sheetFormatPr baseColWidth="10" defaultColWidth="8.83203125" defaultRowHeight="15" x14ac:dyDescent="0.2"/>
  <cols>
    <col min="1" max="1" width="21.6640625" customWidth="1"/>
    <col min="2" max="2" width="15" customWidth="1"/>
    <col min="3" max="3" width="12.6640625" bestFit="1" customWidth="1"/>
    <col min="4" max="4" width="12.83203125" customWidth="1"/>
    <col min="5" max="6" width="11.5" customWidth="1"/>
    <col min="7" max="7" width="15.33203125" bestFit="1" customWidth="1"/>
    <col min="8" max="8" width="17.5" customWidth="1"/>
    <col min="9" max="1025" width="8.5"/>
  </cols>
  <sheetData>
    <row r="1" spans="1:10" ht="26" x14ac:dyDescent="0.3">
      <c r="A1" s="56" t="s">
        <v>94</v>
      </c>
      <c r="B1" s="56"/>
      <c r="C1" s="56"/>
      <c r="D1" s="56"/>
      <c r="E1" s="56"/>
      <c r="F1" s="56"/>
      <c r="G1" s="56"/>
      <c r="H1" s="56"/>
      <c r="I1" s="54"/>
      <c r="J1" s="54"/>
    </row>
    <row r="3" spans="1:10" x14ac:dyDescent="0.2">
      <c r="A3" t="s">
        <v>95</v>
      </c>
    </row>
    <row r="4" spans="1:10" x14ac:dyDescent="0.2">
      <c r="A4" t="s">
        <v>81</v>
      </c>
    </row>
    <row r="5" spans="1:10" x14ac:dyDescent="0.2">
      <c r="A5" t="s">
        <v>82</v>
      </c>
    </row>
    <row r="7" spans="1:10" ht="40" x14ac:dyDescent="0.25">
      <c r="B7" s="49" t="s">
        <v>80</v>
      </c>
      <c r="C7" s="49" t="s">
        <v>79</v>
      </c>
      <c r="D7" s="49" t="s">
        <v>83</v>
      </c>
      <c r="E7" s="49" t="s">
        <v>87</v>
      </c>
      <c r="F7" s="49" t="s">
        <v>88</v>
      </c>
      <c r="G7" s="53" t="s">
        <v>91</v>
      </c>
      <c r="H7" s="53" t="s">
        <v>92</v>
      </c>
    </row>
    <row r="8" spans="1:10" ht="19" x14ac:dyDescent="0.25">
      <c r="B8" s="50">
        <v>1750</v>
      </c>
      <c r="C8" s="51">
        <f>118/(10*12)</f>
        <v>0.98333333333333328</v>
      </c>
      <c r="D8" s="41">
        <f>B8*C8*12</f>
        <v>20650</v>
      </c>
      <c r="E8" s="41">
        <f>B8*(1-B11)*B10*12</f>
        <v>1764</v>
      </c>
      <c r="F8" s="41">
        <f>E8*B12</f>
        <v>176.4</v>
      </c>
      <c r="G8" s="52">
        <f>D8-E8-F8</f>
        <v>18709.599999999999</v>
      </c>
      <c r="H8" s="55">
        <f>G8/Gostima!B17</f>
        <v>2484.6746347941566</v>
      </c>
    </row>
    <row r="10" spans="1:10" x14ac:dyDescent="0.2">
      <c r="A10" s="34" t="s">
        <v>85</v>
      </c>
      <c r="B10" s="22">
        <v>0.12</v>
      </c>
    </row>
    <row r="11" spans="1:10" x14ac:dyDescent="0.2">
      <c r="A11" s="34" t="s">
        <v>86</v>
      </c>
      <c r="B11" s="22">
        <v>0.3</v>
      </c>
    </row>
    <row r="12" spans="1:10" x14ac:dyDescent="0.2">
      <c r="A12" s="34" t="s">
        <v>84</v>
      </c>
      <c r="B12" s="22">
        <v>0.1</v>
      </c>
    </row>
  </sheetData>
  <mergeCells count="1">
    <mergeCell ref="A1:H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83203125" defaultRowHeight="15" x14ac:dyDescent="0.2"/>
  <cols>
    <col min="1" max="1025" width="8.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Gostima</vt:lpstr>
      <vt:lpstr>Podstanarima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</cp:lastModifiedBy>
  <cp:revision>0</cp:revision>
  <cp:lastPrinted>2014-05-12T13:02:52Z</cp:lastPrinted>
  <dcterms:created xsi:type="dcterms:W3CDTF">2006-09-16T00:00:00Z</dcterms:created>
  <dcterms:modified xsi:type="dcterms:W3CDTF">2020-09-05T15:34:24Z</dcterms:modified>
  <dc:language>hr-HR</dc:language>
</cp:coreProperties>
</file>